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<sst xmlns="http://schemas.openxmlformats.org/spreadsheetml/2006/main" count="123" uniqueCount="123">
  <si>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Choose an item from dropdown</t>
  </si>
  <si>
    <t xml:space="preserve"> </t>
  </si>
  <si>
    <t>Wood Treatment Tank Simulator</t>
  </si>
  <si>
    <t xml:space="preserve"> </t>
  </si>
  <si>
    <t>Enter number of seconds to apply</t>
  </si>
  <si>
    <t xml:space="preserve"> </t>
  </si>
  <si>
    <t>+</t>
  </si>
  <si>
    <r>
      <rPr>
        <sz val="10"/>
        <rFont val="Arial"/>
        <family val="2"/>
      </rPr>
      <t xml:space="preserve">Order </t>
    </r>
    <r>
      <rPr>
        <b/>
        <sz val="10"/>
        <rFont val="Arial"/>
        <family val="2"/>
      </rPr>
      <t>does</t>
    </r>
    <r>
      <rPr>
        <sz val="10"/>
        <rFont val="Arial"/>
        <family val="2"/>
      </rPr>
      <t xml:space="preserve"> matter</t>
    </r>
  </si>
  <si>
    <t>Flex</t>
  </si>
  <si>
    <t>Cutt</t>
  </si>
  <si>
    <t>Flam</t>
  </si>
  <si>
    <t>Water</t>
  </si>
  <si>
    <t>Insect</t>
  </si>
  <si>
    <t>Toxic</t>
  </si>
  <si>
    <t>Dark</t>
  </si>
  <si>
    <t>Gloss</t>
  </si>
  <si>
    <t>++</t>
  </si>
  <si>
    <t>Ash</t>
  </si>
  <si>
    <t>+++</t>
  </si>
  <si>
    <t>Secs:</t>
  </si>
  <si>
    <t>Item:</t>
  </si>
  <si>
    <t>Beeswax</t>
  </si>
  <si>
    <t>++++</t>
  </si>
  <si>
    <t>#1</t>
  </si>
  <si>
    <t>Saltpeter</t>
  </si>
  <si>
    <t>Lead</t>
  </si>
  <si>
    <t>+++++</t>
  </si>
  <si>
    <t>#2</t>
  </si>
  <si>
    <t>Potash</t>
  </si>
  <si>
    <t>Flexibility</t>
  </si>
  <si>
    <t>Lime</t>
  </si>
  <si>
    <t>++++++</t>
  </si>
  <si>
    <t>#3</t>
  </si>
  <si>
    <t xml:space="preserve"> </t>
  </si>
  <si>
    <t>Cuttability</t>
  </si>
  <si>
    <t>Oil</t>
  </si>
  <si>
    <t>+++++++</t>
  </si>
  <si>
    <t>#4</t>
  </si>
  <si>
    <t xml:space="preserve"> </t>
  </si>
  <si>
    <t>Flammability</t>
  </si>
  <si>
    <t>Potash</t>
  </si>
  <si>
    <t>++++++++</t>
  </si>
  <si>
    <t>#5</t>
  </si>
  <si>
    <t xml:space="preserve"> </t>
  </si>
  <si>
    <t>Water Resist</t>
  </si>
  <si>
    <t>Saltpeter</t>
  </si>
  <si>
    <t>+++++++++</t>
  </si>
  <si>
    <t>#6</t>
  </si>
  <si>
    <t xml:space="preserve"> </t>
  </si>
  <si>
    <t>Insect Resist</t>
  </si>
  <si>
    <t>Sulfur</t>
  </si>
  <si>
    <t>++++++++++</t>
  </si>
  <si>
    <t>#7</t>
  </si>
  <si>
    <t xml:space="preserve"> </t>
  </si>
  <si>
    <t>Human Toxic</t>
  </si>
  <si>
    <t>Tar</t>
  </si>
  <si>
    <t>+++++++++++</t>
  </si>
  <si>
    <t>#8</t>
  </si>
  <si>
    <t xml:space="preserve"> </t>
  </si>
  <si>
    <t>Darkness</t>
  </si>
  <si>
    <t>Water</t>
  </si>
  <si>
    <t>++++++++++++</t>
  </si>
  <si>
    <t>#9</t>
  </si>
  <si>
    <t xml:space="preserve"> </t>
  </si>
  <si>
    <t>Glossy</t>
  </si>
  <si>
    <t>+++++++++++++</t>
  </si>
  <si>
    <t>#10</t>
  </si>
  <si>
    <t xml:space="preserve"> </t>
  </si>
  <si>
    <t>Untreated</t>
  </si>
  <si>
    <t>K-Values:</t>
  </si>
  <si>
    <t>Note: Change these K-Values to match those of the specific</t>
  </si>
  <si>
    <r>
      <rPr>
        <sz val="10"/>
        <rFont val="Arial"/>
        <family val="2"/>
      </rPr>
      <t xml:space="preserve">Press </t>
    </r>
    <r>
      <rPr>
        <b/>
        <sz val="10"/>
        <rFont val="Arial"/>
        <family val="2"/>
      </rPr>
      <t>Clear</t>
    </r>
    <r>
      <rPr>
        <sz val="10"/>
        <rFont val="Arial"/>
        <family val="2"/>
      </rPr>
      <t xml:space="preserve"> to start over</t>
    </r>
  </si>
  <si>
    <r>
      <rPr>
        <sz val="10"/>
        <rFont val="Arial"/>
        <family val="2"/>
      </rPr>
      <t xml:space="preserve">Wood Treatment Tank you are using. See </t>
    </r>
    <r>
      <rPr>
        <u val="single"/>
        <sz val="10"/>
        <color indexed="12"/>
        <rFont val="Arial"/>
        <family val="2"/>
      </rPr>
      <t>this webpage.</t>
    </r>
  </si>
  <si>
    <r>
      <rPr>
        <sz val="10"/>
        <rFont val="Arial"/>
        <family val="2"/>
      </rPr>
      <t xml:space="preserve">Press </t>
    </r>
    <r>
      <rPr>
        <b/>
        <sz val="10"/>
        <rFont val="Arial"/>
        <family val="2"/>
      </rPr>
      <t>Save</t>
    </r>
    <r>
      <rPr>
        <sz val="10"/>
        <rFont val="Arial"/>
        <family val="2"/>
      </rPr>
      <t xml:space="preserve"> to save current recipe</t>
    </r>
  </si>
  <si>
    <t>K-Value Formula: (((End – Start)^2)/Quantity)/2</t>
  </si>
  <si>
    <r>
      <rPr>
        <sz val="10"/>
        <rFont val="Arial"/>
        <family val="2"/>
      </rPr>
      <t xml:space="preserve">Press </t>
    </r>
    <r>
      <rPr>
        <b/>
        <sz val="10"/>
        <rFont val="Arial"/>
        <family val="2"/>
      </rPr>
      <t>Recall</t>
    </r>
    <r>
      <rPr>
        <sz val="10"/>
        <rFont val="Arial"/>
        <family val="2"/>
      </rPr>
      <t xml:space="preserve"> to reload saved recipe</t>
    </r>
  </si>
  <si>
    <r>
      <rPr>
        <sz val="10"/>
        <rFont val="Arial"/>
        <family val="2"/>
      </rPr>
      <t xml:space="preserve">Version 2.0 Updated for Tale 2 of </t>
    </r>
    <r>
      <rPr>
        <u val="single"/>
        <sz val="10"/>
        <color indexed="12"/>
        <rFont val="Arial"/>
        <family val="2"/>
      </rPr>
      <t>ATITD</t>
    </r>
  </si>
  <si>
    <t>Copyright 2003,2004,2005 by Adam Forster (Dragyn on ATITD)</t>
  </si>
  <si>
    <r>
      <rPr>
        <sz val="10"/>
        <rFont val="Arial"/>
        <family val="2"/>
      </rPr>
      <t xml:space="preserve">Based on the formulas and data posted to the </t>
    </r>
    <r>
      <rPr>
        <u val="single"/>
        <sz val="10"/>
        <color indexed="12"/>
        <rFont val="Arial"/>
        <family val="2"/>
      </rPr>
      <t>ATITD Forums by Tamutnefret</t>
    </r>
  </si>
  <si>
    <t>Secs:</t>
  </si>
  <si>
    <t>Item:</t>
  </si>
  <si>
    <t>Secs:</t>
  </si>
  <si>
    <t>Item:</t>
  </si>
  <si>
    <t>#1</t>
  </si>
  <si>
    <t>Saltpeter</t>
  </si>
  <si>
    <t>#1</t>
  </si>
  <si>
    <t xml:space="preserve"> </t>
  </si>
  <si>
    <t>#2</t>
  </si>
  <si>
    <t>Potash</t>
  </si>
  <si>
    <t>#2</t>
  </si>
  <si>
    <t xml:space="preserve"> </t>
  </si>
  <si>
    <t>#3</t>
  </si>
  <si>
    <t xml:space="preserve"> </t>
  </si>
  <si>
    <t>#3</t>
  </si>
  <si>
    <t xml:space="preserve"> </t>
  </si>
  <si>
    <t>#4</t>
  </si>
  <si>
    <t xml:space="preserve"> </t>
  </si>
  <si>
    <t>#4</t>
  </si>
  <si>
    <t xml:space="preserve"> </t>
  </si>
  <si>
    <t>#5</t>
  </si>
  <si>
    <t xml:space="preserve"> </t>
  </si>
  <si>
    <t>#5</t>
  </si>
  <si>
    <t xml:space="preserve"> </t>
  </si>
  <si>
    <t>#6</t>
  </si>
  <si>
    <t xml:space="preserve"> </t>
  </si>
  <si>
    <t>#6</t>
  </si>
  <si>
    <t xml:space="preserve"> </t>
  </si>
  <si>
    <t>#7</t>
  </si>
  <si>
    <t xml:space="preserve"> </t>
  </si>
  <si>
    <t>#7</t>
  </si>
  <si>
    <t xml:space="preserve"> </t>
  </si>
  <si>
    <t>#8</t>
  </si>
  <si>
    <t xml:space="preserve"> </t>
  </si>
  <si>
    <t>#8</t>
  </si>
  <si>
    <t xml:space="preserve"> </t>
  </si>
  <si>
    <t>#9</t>
  </si>
  <si>
    <t xml:space="preserve"> </t>
  </si>
  <si>
    <t>#9</t>
  </si>
  <si>
    <t xml:space="preserve"> </t>
  </si>
  <si>
    <t>#10</t>
  </si>
  <si>
    <t xml:space="preserve"> </t>
  </si>
  <si>
    <t>#10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</si>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</sst>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#"/>
  </numFmts>
  <fonts count="6">
    <font>
      <sz val="10"/>
      <name val="Arial"/>
      <family val="2"/>
    </font>
    <font>
      <b/>
      <sz val="14"/>
      <color indexed="6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1" fillId="3" borderId="0" xfId="0" applyFont="1" applyFill="1" applyAlignment="1">
      <alignment horizontal="center"/>
    </xf>
    <xf numFmtId="164" fontId="0" fillId="4" borderId="0" xfId="0" applyFill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2" fillId="5" borderId="0" xfId="0" applyFont="1" applyFill="1" applyAlignment="1">
      <alignment horizontal="center"/>
    </xf>
    <xf numFmtId="164" fontId="0" fillId="0" borderId="5" xfId="0" applyFont="1" applyBorder="1" applyAlignment="1">
      <alignment horizontal="right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8" xfId="0" applyFont="1" applyBorder="1" applyAlignment="1">
      <alignment horizontal="right"/>
    </xf>
    <xf numFmtId="164" fontId="0" fillId="0" borderId="9" xfId="0" applyBorder="1" applyAlignment="1">
      <alignment/>
    </xf>
    <xf numFmtId="164" fontId="2" fillId="0" borderId="0" xfId="0" applyFont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Border="1" applyAlignment="1">
      <alignment/>
    </xf>
    <xf numFmtId="164" fontId="0" fillId="6" borderId="0" xfId="0" applyFill="1" applyAlignment="1">
      <alignment horizontal="right"/>
    </xf>
    <xf numFmtId="165" fontId="0" fillId="0" borderId="0" xfId="0" applyNumberFormat="1" applyAlignment="1">
      <alignment/>
    </xf>
    <xf numFmtId="164" fontId="4" fillId="4" borderId="0" xfId="0" applyFont="1" applyFill="1" applyAlignment="1">
      <alignment horizontal="left" indent="1"/>
    </xf>
    <xf numFmtId="164" fontId="3" fillId="6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11" xfId="0" applyFont="1" applyBorder="1" applyAlignment="1">
      <alignment horizontal="right"/>
    </xf>
    <xf numFmtId="164" fontId="0" fillId="0" borderId="12" xfId="0" applyBorder="1" applyAlignment="1">
      <alignment/>
    </xf>
    <xf numFmtId="164" fontId="0" fillId="0" borderId="13" xfId="0" applyBorder="1" applyAlignment="1">
      <alignment horizontal="center"/>
    </xf>
    <xf numFmtId="164" fontId="0" fillId="0" borderId="13" xfId="0" applyBorder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0" fillId="9" borderId="0" xfId="0" applyFill="1" applyAlignment="1">
      <alignment/>
    </xf>
    <xf numFmtId="164" fontId="0" fillId="8" borderId="0" xfId="0" applyFont="1" applyFill="1" applyAlignment="1">
      <alignment/>
    </xf>
    <xf numFmtId="164" fontId="0" fillId="3" borderId="0" xfId="0" applyFill="1" applyAlignment="1">
      <alignment/>
    </xf>
    <xf numFmtId="164" fontId="0" fillId="8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atitd.net/tale2/Guides/Wood_Treatment" TargetMode="External" /><Relationship Id="rId2" Type="http://schemas.openxmlformats.org/officeDocument/2006/relationships/hyperlink" Target="http://htttp://www.atitd.com" TargetMode="External" /><Relationship Id="rId3" Type="http://schemas.openxmlformats.org/officeDocument/2006/relationships/hyperlink" Target="http://www.atitdportal.com/phpBB2/viewtopic.php?t=12937&amp;postdays=0&amp;postorder=asc&amp;start=30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workbookViewId="0" topLeftCell="A1">
      <selection activeCell="C7" sqref="C7"/>
    </sheetView>
  </sheetViews>
  <sheetFormatPr defaultColWidth="9.140625" defaultRowHeight="12.75"/>
  <cols>
    <col min="1" max="1" width="0" style="0" hidden="1" customWidth="1"/>
    <col min="2" max="2" width="4.140625" style="0" customWidth="1"/>
    <col min="3" max="3" width="6.7109375" style="0" customWidth="1"/>
    <col min="4" max="4" width="9.140625" style="0" customWidth="1"/>
    <col min="5" max="5" width="9.57421875" style="0" customWidth="1"/>
    <col min="6" max="6" width="5.00390625" style="0" customWidth="1"/>
    <col min="7" max="7" width="11.7109375" style="0" customWidth="1"/>
    <col min="8" max="8" width="4.28125" style="0" customWidth="1"/>
    <col min="9" max="9" width="17.28125" style="0" customWidth="1"/>
    <col min="10" max="10" width="15.421875" style="0" customWidth="1"/>
    <col min="11" max="11" width="4.00390625" style="0" customWidth="1"/>
    <col min="12" max="12" width="9.7109375" style="0" customWidth="1"/>
    <col min="13" max="20" width="5.7109375" style="0" customWidth="1"/>
    <col min="21" max="21" width="4.421875" style="0" customWidth="1"/>
    <col min="22" max="22" width="4.7109375" style="0" customWidth="1"/>
    <col min="23" max="31" width="0" style="0" hidden="1" customWidth="1"/>
    <col min="32" max="256" width="11.7109375" style="0" customWidth="1"/>
  </cols>
  <sheetData>
    <row r="1" spans="2:12" ht="18">
      <c r="B1" s="1" t="s">
        <v>0</v>
      </c>
      <c r="C1" s="1" t="s">
        <v>1</v>
      </c>
      <c r="D1" s="1"/>
      <c r="E1" s="1"/>
      <c r="F1" s="2"/>
      <c r="G1" s="3" t="s">
        <v>2</v>
      </c>
      <c r="H1" s="3"/>
      <c r="I1" s="3"/>
      <c r="J1" s="3"/>
      <c r="L1">
        <f>""</f>
      </c>
    </row>
    <row r="2" spans="1:12" ht="12.75">
      <c r="A2" t="s">
        <v>3</v>
      </c>
      <c r="B2" s="1" t="s">
        <v>4</v>
      </c>
      <c r="C2" s="1"/>
      <c r="D2" s="1"/>
      <c r="E2" s="1"/>
      <c r="F2" s="2"/>
      <c r="L2" t="s">
        <v>5</v>
      </c>
    </row>
    <row r="3" spans="1:20" ht="12.75">
      <c r="A3" t="s">
        <v>6</v>
      </c>
      <c r="B3" s="1" t="s">
        <v>7</v>
      </c>
      <c r="C3" s="1"/>
      <c r="D3" s="1"/>
      <c r="E3" s="1"/>
      <c r="F3" s="2"/>
      <c r="G3" s="4"/>
      <c r="H3" s="4"/>
      <c r="I3" s="4"/>
      <c r="J3" s="4"/>
      <c r="L3" s="5"/>
      <c r="M3" s="6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8" t="s">
        <v>15</v>
      </c>
    </row>
    <row r="4" spans="1:31" ht="12.75">
      <c r="A4" t="s">
        <v>16</v>
      </c>
      <c r="G4" s="9" t="str">
        <f>CONCATENATE(J7,J8,J9,J10,J11,J12,J13,J14,"Boards")</f>
        <v>Pliable Soft Nontoxic White Boards</v>
      </c>
      <c r="H4" s="9"/>
      <c r="I4" s="9"/>
      <c r="J4" s="9"/>
      <c r="L4" s="10" t="s">
        <v>17</v>
      </c>
      <c r="M4" s="11">
        <v>69</v>
      </c>
      <c r="N4" s="11">
        <v>53</v>
      </c>
      <c r="O4" s="11">
        <v>-3</v>
      </c>
      <c r="P4" s="11">
        <v>21</v>
      </c>
      <c r="Q4" s="11">
        <v>37</v>
      </c>
      <c r="R4" s="11">
        <v>45</v>
      </c>
      <c r="S4" s="11">
        <v>45</v>
      </c>
      <c r="T4" s="12">
        <v>-3</v>
      </c>
      <c r="W4">
        <v>1</v>
      </c>
      <c r="X4">
        <f>(POWER(M15-INDEX(M$2:M$14,MATCH($D6,$L$2:$L$14,1)),2)-(2*M$17*$C6))</f>
        <v>-391.51020408163276</v>
      </c>
      <c r="Y4">
        <f>(POWER(N15-INDEX(N2:N14,MATCH($D$6,$L$2:$L$14,1)),2)-(2*N17*$C$6))</f>
        <v>130.53237410071938</v>
      </c>
      <c r="Z4">
        <f>(POWER(O15-INDEX(O2:O14,MATCH($D$6,$L$2:$L$14,1)),2)-(2*O17*$C$6))</f>
        <v>-671.0382513661202</v>
      </c>
      <c r="AA4">
        <f>(POWER(P15-INDEX(P2:P14,MATCH($D$6,$L$2:$L$14,1)),2)-(2*P17*$C$6))</f>
        <v>-977.9026548672568</v>
      </c>
      <c r="AB4">
        <f>(POWER(Q15-INDEX(Q2:Q14,MATCH($D$6,$L$2:$L$14,1)),2)-(2*Q17*$C$6))</f>
        <v>-181.8571428571429</v>
      </c>
      <c r="AC4">
        <f>(POWER(R15-INDEX(R2:R14,MATCH($D$6,$L$2:$L$14,1)),2)-(2*R17*$C$6))</f>
        <v>-996.4467005076142</v>
      </c>
      <c r="AD4">
        <f>(POWER(S15-INDEX(S2:S14,MATCH($D$6,$L$2:$L$14,1)),2)-(2*S17*$C$6))</f>
        <v>-639.787798408488</v>
      </c>
      <c r="AE4">
        <f>(POWER(T15-INDEX(T2:T14,MATCH($D$6,$L$2:$L$14,1)),2)-(2*T17*$C$6))</f>
        <v>585.3049792531119</v>
      </c>
    </row>
    <row r="5" spans="1:31" ht="12.75">
      <c r="A5" t="s">
        <v>18</v>
      </c>
      <c r="C5" s="13" t="s">
        <v>19</v>
      </c>
      <c r="D5" s="13" t="s">
        <v>20</v>
      </c>
      <c r="G5" s="4"/>
      <c r="H5" s="4"/>
      <c r="I5" s="4"/>
      <c r="J5" s="4"/>
      <c r="K5" s="14"/>
      <c r="L5" s="15" t="s">
        <v>21</v>
      </c>
      <c r="M5" s="2">
        <v>45</v>
      </c>
      <c r="N5" s="2">
        <v>37</v>
      </c>
      <c r="O5" s="2">
        <v>37</v>
      </c>
      <c r="P5" s="2">
        <v>69</v>
      </c>
      <c r="Q5" s="2">
        <v>21</v>
      </c>
      <c r="R5" s="2">
        <v>37</v>
      </c>
      <c r="S5" s="2">
        <v>37</v>
      </c>
      <c r="T5" s="16">
        <v>69</v>
      </c>
      <c r="X5">
        <f>IF(X4&gt;0,INDEX(M$2:M$14,MATCH($D6,$L$2:$L$14,1))+(SIGN(M15-INDEX(M$2:M$14,MATCH($D6,$L$2:$L$14,1)))*SQRT(X4)),INDEX(M$2:M$14,MATCH($D6,$L$2:$L$14,1)))</f>
        <v>61</v>
      </c>
      <c r="Y5">
        <f>IF(Y4&gt;0,INDEX(N2:N14,MATCH($D$6,$L$2:$L$14,1))+(SIGN(N15-INDEX(N2:N14,MATCH($D$6,$L$2:$L$14,1)))*SQRT(Y4)),INDEX(N2:N14,MATCH($D$6,$L$2:$L$14,1)))</f>
        <v>57.574923453179</v>
      </c>
      <c r="Z5">
        <f>IF(Z4&gt;0,INDEX(O2:O14,MATCH($D$6,$L$2:$L$14,1))+(SIGN(O15-INDEX(O2:O14,MATCH($D$6,$L$2:$L$14,1)))*SQRT(Z4)),INDEX(O2:O14,MATCH($D$6,$L$2:$L$14,1)))</f>
        <v>53</v>
      </c>
      <c r="AA5">
        <f>IF(AA4&gt;0,INDEX(P2:P14,MATCH($D$6,$L$2:$L$14,1))+(SIGN(P15-INDEX(P2:P14,MATCH($D$6,$L$2:$L$14,1)))*SQRT(AA4)),INDEX(P2:P14,MATCH($D$6,$L$2:$L$14,1)))</f>
        <v>13</v>
      </c>
      <c r="AB5">
        <f>IF(AB4&gt;0,INDEX(Q2:Q14,MATCH($D$6,$L$2:$L$14,1))+(SIGN(Q15-INDEX(Q2:Q14,MATCH($D$6,$L$2:$L$14,1)))*SQRT(AB4)),INDEX(Q2:Q14,MATCH($D$6,$L$2:$L$14,1)))</f>
        <v>53</v>
      </c>
      <c r="AC5">
        <f>IF(AC4&gt;0,INDEX(R2:R14,MATCH($D$6,$L$2:$L$14,1))+(SIGN(R15-INDEX(R2:R14,MATCH($D$6,$L$2:$L$14,1)))*SQRT(AC4)),INDEX(R2:R14,MATCH($D$6,$L$2:$L$14,1)))</f>
        <v>5</v>
      </c>
      <c r="AD5">
        <f>IF(AD4&gt;0,INDEX(S2:S14,MATCH($D$6,$L$2:$L$14,1))+(SIGN(S15-INDEX(S2:S14,MATCH($D$6,$L$2:$L$14,1)))*SQRT(AD4)),INDEX(S2:S14,MATCH($D$6,$L$2:$L$14,1)))</f>
        <v>13</v>
      </c>
      <c r="AE5">
        <f>IF(AE4&gt;0,INDEX(T2:T14,MATCH($D$6,$L$2:$L$14,1))+(SIGN(T15-INDEX(T2:T14,MATCH($D$6,$L$2:$L$14,1)))*SQRT(AE4)),INDEX(T2:T14,MATCH($D$6,$L$2:$L$14,1)))</f>
        <v>20.80692290647773</v>
      </c>
    </row>
    <row r="6" spans="1:31" ht="12.75">
      <c r="A6" t="s">
        <v>22</v>
      </c>
      <c r="B6" s="17" t="s">
        <v>23</v>
      </c>
      <c r="C6" s="18">
        <v>125</v>
      </c>
      <c r="D6" s="19" t="s">
        <v>24</v>
      </c>
      <c r="E6" s="19"/>
      <c r="G6" s="2"/>
      <c r="H6" s="2"/>
      <c r="I6" s="2"/>
      <c r="J6" s="2"/>
      <c r="K6" s="14"/>
      <c r="L6" s="15" t="s">
        <v>25</v>
      </c>
      <c r="M6" s="2">
        <v>5</v>
      </c>
      <c r="N6" s="2">
        <v>5</v>
      </c>
      <c r="O6" s="2">
        <v>21</v>
      </c>
      <c r="P6" s="2">
        <v>29</v>
      </c>
      <c r="Q6" s="2">
        <v>69</v>
      </c>
      <c r="R6" s="2">
        <v>61</v>
      </c>
      <c r="S6" s="2">
        <v>69</v>
      </c>
      <c r="T6" s="16">
        <v>29</v>
      </c>
      <c r="W6">
        <v>2</v>
      </c>
      <c r="X6">
        <f>(POWER(X5-INDEX(M$2:M$14,MATCH($D7,$L$2:$L$14,1)),2)-(2*M$17*$C7))</f>
        <v>1534.1714285714286</v>
      </c>
      <c r="Y6">
        <f>(POWER(Y5-INDEX(N$2:N$14,MATCH($D7,$L$2:$L$14,1)),2)-(2*N$17*$C7))</f>
        <v>-53.53503769877643</v>
      </c>
      <c r="Z6">
        <f>(POWER(Z5-INDEX(O$2:O$14,MATCH($D7,$L$2:$L$14,1)),2)-(2*O$17*$C7))</f>
        <v>1540.0218579234972</v>
      </c>
      <c r="AA6">
        <f>(POWER(AA5-INDEX(P$2:P$14,MATCH($D7,$L$2:$L$14,1)),2)-(2*P$17*$C7))</f>
        <v>-0.22654867256638056</v>
      </c>
      <c r="AB6">
        <f>(POWER(AB5-INDEX(Q$2:Q$14,MATCH($D7,$L$2:$L$14,1)),2)-(2*Q$17*$C7))</f>
        <v>512</v>
      </c>
      <c r="AC6">
        <f>(POWER(AC5-INDEX(R$2:R$14,MATCH($D7,$L$2:$L$14,1)),2)-(2*R$17*$C7))</f>
        <v>194.5989847715736</v>
      </c>
      <c r="AD6">
        <f>(POWER(AD5-INDEX(S$2:S$14,MATCH($D7,$L$2:$L$14,1)),2)-(2*S$17*$C7))</f>
        <v>5.771883289124673</v>
      </c>
      <c r="AE6">
        <f>(POWER(AE5-INDEX(T$2:T$14,MATCH($D7,$L$2:$L$14,1)),2)-(2*T$17*$C7))</f>
        <v>188.49989060950463</v>
      </c>
    </row>
    <row r="7" spans="1:31" ht="12.75">
      <c r="A7" t="s">
        <v>26</v>
      </c>
      <c r="B7" s="17" t="s">
        <v>27</v>
      </c>
      <c r="C7" s="18">
        <v>7</v>
      </c>
      <c r="D7" s="19" t="s">
        <v>28</v>
      </c>
      <c r="E7" s="19"/>
      <c r="G7" s="20" t="s">
        <v>29</v>
      </c>
      <c r="H7" s="21">
        <f>INT(X23)</f>
        <v>60</v>
      </c>
      <c r="I7" s="22" t="str">
        <f ca="1">INDEX($A$2:$A$18,(INT(H7/5)+1),1)</f>
        <v>++++++++++++</v>
      </c>
      <c r="J7" s="23" t="str">
        <f>IF(H7&gt;=58,"Pliable ",IF(H7&lt;=7,"Rigid ",""))</f>
        <v>Pliable </v>
      </c>
      <c r="K7" s="14"/>
      <c r="L7" s="15" t="s">
        <v>30</v>
      </c>
      <c r="M7" s="2">
        <v>-3</v>
      </c>
      <c r="N7" s="2">
        <v>21</v>
      </c>
      <c r="O7" s="2">
        <v>5</v>
      </c>
      <c r="P7" s="2">
        <v>45</v>
      </c>
      <c r="Q7" s="2">
        <v>5</v>
      </c>
      <c r="R7" s="2">
        <v>13</v>
      </c>
      <c r="S7" s="2">
        <v>-3</v>
      </c>
      <c r="T7" s="16">
        <v>13</v>
      </c>
      <c r="X7">
        <f>IF(X6&gt;0,INDEX(M$2:M$14,MATCH($D7,$L$2:$L$14,1))+(SIGN(X5-INDEX(M$2:M$14,MATCH($D7,$L$2:$L$14,1)))*SQRT(X6)),INDEX(M$2:M$14,MATCH($D7,$L$2:$L$14,1)))</f>
        <v>60.16850046365611</v>
      </c>
      <c r="Y7">
        <f>IF(Y6&gt;0,INDEX(N$2:N$14,MATCH($D7,$L$2:$L$14,1))+(SIGN(Y5-INDEX(N$2:N$14,MATCH($D7,$L$2:$L$14,1)))*SQRT(Y6)),INDEX(N$2:N$14,MATCH($D7,$L$2:$L$14,1)))</f>
        <v>61</v>
      </c>
      <c r="Z7">
        <f>IF(Z6&gt;0,INDEX(O$2:O$14,MATCH($D7,$L$2:$L$14,1))+(SIGN(Z5-INDEX(O$2:O$14,MATCH($D7,$L$2:$L$14,1)))*SQRT(Z6)),INDEX(O$2:O$14,MATCH($D7,$L$2:$L$14,1)))</f>
        <v>52.243112235442</v>
      </c>
      <c r="AA7">
        <f>IF(AA6&gt;0,INDEX(P$2:P$14,MATCH($D7,$L$2:$L$14,1))+(SIGN(AA5-INDEX(P$2:P$14,MATCH($D7,$L$2:$L$14,1)))*SQRT(AA6)),INDEX(P$2:P$14,MATCH($D7,$L$2:$L$14,1)))</f>
        <v>5</v>
      </c>
      <c r="AB7">
        <f>IF(AB6&gt;0,INDEX(Q$2:Q$14,MATCH($D7,$L$2:$L$14,1))+(SIGN(AB5-INDEX(Q$2:Q$14,MATCH($D7,$L$2:$L$14,1)))*SQRT(AB6)),INDEX(Q$2:Q$14,MATCH($D7,$L$2:$L$14,1)))</f>
        <v>51.62741699796952</v>
      </c>
      <c r="AC7">
        <f>IF(AC6&gt;0,INDEX(R$2:R$14,MATCH($D7,$L$2:$L$14,1))+(SIGN(AC5-INDEX(R$2:R$14,MATCH($D7,$L$2:$L$14,1)))*SQRT(AC6)),INDEX(R$2:R$14,MATCH($D7,$L$2:$L$14,1)))</f>
        <v>7.050125994419391</v>
      </c>
      <c r="AD7">
        <f>IF(AD6&gt;0,INDEX(S$2:S$14,MATCH($D7,$L$2:$L$14,1))+(SIGN(AD5-INDEX(S$2:S$14,MATCH($D7,$L$2:$L$14,1)))*SQRT(AD6)),INDEX(S$2:S$14,MATCH($D7,$L$2:$L$14,1)))</f>
        <v>7.402474409671136</v>
      </c>
      <c r="AE7">
        <f>IF(AE6&gt;0,INDEX(T$2:T$14,MATCH($D7,$L$2:$L$14,1))+(SIGN(AE5-INDEX(T$2:T$14,MATCH($D7,$L$2:$L$14,1)))*SQRT(AE6)),INDEX(T$2:T$14,MATCH($D7,$L$2:$L$14,1)))</f>
        <v>18.72952623397853</v>
      </c>
    </row>
    <row r="8" spans="1:31" ht="12.75">
      <c r="A8" t="s">
        <v>31</v>
      </c>
      <c r="B8" s="17" t="s">
        <v>32</v>
      </c>
      <c r="C8" s="18"/>
      <c r="D8" s="19" t="s">
        <v>33</v>
      </c>
      <c r="E8" s="19"/>
      <c r="G8" s="20" t="s">
        <v>34</v>
      </c>
      <c r="H8" s="21">
        <f>INT(Y23)</f>
        <v>61</v>
      </c>
      <c r="I8" s="22" t="str">
        <f ca="1">INDEX($A$2:$A$18,(INT(H8/5)+1),1)</f>
        <v>++++++++++++</v>
      </c>
      <c r="J8" s="23" t="str">
        <f>IF(H8&gt;=58,"Soft ",IF(H8&lt;=7,"Hard ",""))</f>
        <v>Soft </v>
      </c>
      <c r="K8" s="14"/>
      <c r="L8" s="15" t="s">
        <v>35</v>
      </c>
      <c r="M8" s="2">
        <v>53</v>
      </c>
      <c r="N8" s="2">
        <v>29</v>
      </c>
      <c r="O8" s="2">
        <v>45</v>
      </c>
      <c r="P8" s="2">
        <v>53</v>
      </c>
      <c r="Q8" s="2">
        <v>13</v>
      </c>
      <c r="R8" s="2">
        <v>29</v>
      </c>
      <c r="S8" s="2">
        <v>53</v>
      </c>
      <c r="T8" s="16">
        <v>61</v>
      </c>
      <c r="W8">
        <v>3</v>
      </c>
      <c r="X8">
        <f>(POWER(X7-INDEX(M$2:M$14,MATCH($D8,$L$2:$L$14,1)),2)-(2*M$17*$C8))</f>
        <v>3620.2484480449853</v>
      </c>
      <c r="Y8">
        <f>(POWER(Y7-INDEX(N$2:N$14,MATCH($D8,$L$2:$L$14,1)),2)-(2*N$17*$C8))</f>
        <v>3721</v>
      </c>
      <c r="Z8">
        <f>(POWER(Z7-INDEX(O$2:O$14,MATCH($D8,$L$2:$L$14,1)),2)-(2*O$17*$C8))</f>
        <v>2729.3427760449895</v>
      </c>
      <c r="AA8">
        <f>(POWER(AA7-INDEX(P$2:P$14,MATCH($D8,$L$2:$L$14,1)),2)-(2*P$17*$C8))</f>
        <v>25</v>
      </c>
      <c r="AB8">
        <f>(POWER(AB7-INDEX(Q$2:Q$14,MATCH($D8,$L$2:$L$14,1)),2)-(2*Q$17*$C8))</f>
        <v>2665.390185882232</v>
      </c>
      <c r="AC8">
        <f>(POWER(AC7-INDEX(R$2:R$14,MATCH($D8,$L$2:$L$14,1)),2)-(2*R$17*$C8))</f>
        <v>49.704276537188</v>
      </c>
      <c r="AD8">
        <f>(POWER(AD7-INDEX(S$2:S$14,MATCH($D8,$L$2:$L$14,1)),2)-(2*S$17*$C8))</f>
        <v>54.79662738583603</v>
      </c>
      <c r="AE8">
        <f>(POWER(AE7-INDEX(T$2:T$14,MATCH($D8,$L$2:$L$14,1)),2)-(2*T$17*$C8))</f>
        <v>350.79515294928996</v>
      </c>
    </row>
    <row r="9" spans="1:31" ht="12.75">
      <c r="A9" t="s">
        <v>36</v>
      </c>
      <c r="B9" s="17" t="s">
        <v>37</v>
      </c>
      <c r="C9" s="18"/>
      <c r="D9" s="19" t="s">
        <v>38</v>
      </c>
      <c r="E9" s="19"/>
      <c r="G9" s="20" t="s">
        <v>39</v>
      </c>
      <c r="H9" s="21">
        <f>INT(Z23)</f>
        <v>52</v>
      </c>
      <c r="I9" s="22" t="str">
        <f ca="1">INDEX($A$2:$A$18,(INT(H9/5)+1),1)</f>
        <v>++++++++++</v>
      </c>
      <c r="J9" s="23">
        <f>IF(H9&gt;=58,"Volatile ",IF(H9&lt;=7,"Fireproof ",""))</f>
      </c>
      <c r="K9" s="14"/>
      <c r="L9" s="15" t="s">
        <v>40</v>
      </c>
      <c r="M9" s="2">
        <v>21</v>
      </c>
      <c r="N9" s="2">
        <v>61</v>
      </c>
      <c r="O9" s="2">
        <v>13</v>
      </c>
      <c r="P9" s="2">
        <v>5</v>
      </c>
      <c r="Q9" s="2">
        <v>29</v>
      </c>
      <c r="R9" s="2">
        <v>21</v>
      </c>
      <c r="S9" s="2">
        <v>5</v>
      </c>
      <c r="T9" s="16">
        <v>5</v>
      </c>
      <c r="X9">
        <f>IF(X8&gt;0,INDEX(M$2:M$14,MATCH($D8,$L$2:$L$14,1))+(SIGN(X7-INDEX(M$2:M$14,MATCH($D8,$L$2:$L$14,1)))*SQRT(X8)),INDEX(M$2:M$14,MATCH($D8,$L$2:$L$14,1)))</f>
        <v>60.16850046365611</v>
      </c>
      <c r="Y9">
        <f>IF(Y8&gt;0,INDEX(N$2:N$14,MATCH($D8,$L$2:$L$14,1))+(SIGN(Y7-INDEX(N$2:N$14,MATCH($D8,$L$2:$L$14,1)))*SQRT(Y8)),INDEX(N$2:N$14,MATCH($D8,$L$2:$L$14,1)))</f>
        <v>61</v>
      </c>
      <c r="Z9">
        <f>IF(Z8&gt;0,INDEX(O$2:O$14,MATCH($D8,$L$2:$L$14,1))+(SIGN(Z7-INDEX(O$2:O$14,MATCH($D8,$L$2:$L$14,1)))*SQRT(Z8)),INDEX(O$2:O$14,MATCH($D8,$L$2:$L$14,1)))</f>
        <v>52.243112235442</v>
      </c>
      <c r="AA9">
        <f>IF(AA8&gt;0,INDEX(P$2:P$14,MATCH($D8,$L$2:$L$14,1))+(SIGN(AA7-INDEX(P$2:P$14,MATCH($D8,$L$2:$L$14,1)))*SQRT(AA8)),INDEX(P$2:P$14,MATCH($D8,$L$2:$L$14,1)))</f>
        <v>5</v>
      </c>
      <c r="AB9">
        <f>IF(AB8&gt;0,INDEX(Q$2:Q$14,MATCH($D8,$L$2:$L$14,1))+(SIGN(AB7-INDEX(Q$2:Q$14,MATCH($D8,$L$2:$L$14,1)))*SQRT(AB8)),INDEX(Q$2:Q$14,MATCH($D8,$L$2:$L$14,1)))</f>
        <v>51.62741699796952</v>
      </c>
      <c r="AC9">
        <f>IF(AC8&gt;0,INDEX(R$2:R$14,MATCH($D8,$L$2:$L$14,1))+(SIGN(AC7-INDEX(R$2:R$14,MATCH($D8,$L$2:$L$14,1)))*SQRT(AC8)),INDEX(R$2:R$14,MATCH($D8,$L$2:$L$14,1)))</f>
        <v>7.050125994419391</v>
      </c>
      <c r="AD9">
        <f>IF(AD8&gt;0,INDEX(S$2:S$14,MATCH($D8,$L$2:$L$14,1))+(SIGN(AD7-INDEX(S$2:S$14,MATCH($D8,$L$2:$L$14,1)))*SQRT(AD8)),INDEX(S$2:S$14,MATCH($D8,$L$2:$L$14,1)))</f>
        <v>7.402474409671136</v>
      </c>
      <c r="AE9">
        <f>IF(AE8&gt;0,INDEX(T$2:T$14,MATCH($D8,$L$2:$L$14,1))+(SIGN(AE7-INDEX(T$2:T$14,MATCH($D8,$L$2:$L$14,1)))*SQRT(AE8)),INDEX(T$2:T$14,MATCH($D8,$L$2:$L$14,1)))</f>
        <v>18.72952623397853</v>
      </c>
    </row>
    <row r="10" spans="1:31" ht="12.75">
      <c r="A10" t="s">
        <v>41</v>
      </c>
      <c r="B10" s="17" t="s">
        <v>42</v>
      </c>
      <c r="C10" s="18"/>
      <c r="D10" s="19" t="s">
        <v>43</v>
      </c>
      <c r="E10" s="19"/>
      <c r="G10" s="20" t="s">
        <v>44</v>
      </c>
      <c r="H10" s="21">
        <f>INT(AA23)</f>
        <v>5</v>
      </c>
      <c r="I10" s="22" t="str">
        <f ca="1">INDEX($A$2:$A$18,(INT(H10/5)+1),1)</f>
        <v>+</v>
      </c>
      <c r="J10" s="23">
        <f>IF(H10&gt;=58,"Rotproof ","")</f>
      </c>
      <c r="K10" s="14"/>
      <c r="L10" s="15" t="s">
        <v>45</v>
      </c>
      <c r="M10" s="2">
        <v>61</v>
      </c>
      <c r="N10" s="2">
        <v>69</v>
      </c>
      <c r="O10" s="2">
        <v>53</v>
      </c>
      <c r="P10" s="2">
        <v>13</v>
      </c>
      <c r="Q10" s="2">
        <v>53</v>
      </c>
      <c r="R10" s="2">
        <v>5</v>
      </c>
      <c r="S10" s="2">
        <v>13</v>
      </c>
      <c r="T10" s="16">
        <v>45</v>
      </c>
      <c r="W10">
        <v>4</v>
      </c>
      <c r="X10">
        <f>(POWER(X9-INDEX(M$2:M$14,MATCH($D9,$L$2:$L$14,1)),2)-(2*M$17*$C9))</f>
        <v>3620.2484480449853</v>
      </c>
      <c r="Y10">
        <f>(POWER(Y9-INDEX(N$2:N$14,MATCH($D9,$L$2:$L$14,1)),2)-(2*N$17*$C9))</f>
        <v>3721</v>
      </c>
      <c r="Z10">
        <f>(POWER(Z9-INDEX(O$2:O$14,MATCH($D9,$L$2:$L$14,1)),2)-(2*O$17*$C9))</f>
        <v>2729.3427760449895</v>
      </c>
      <c r="AA10">
        <f>(POWER(AA9-INDEX(P$2:P$14,MATCH($D9,$L$2:$L$14,1)),2)-(2*P$17*$C9))</f>
        <v>25</v>
      </c>
      <c r="AB10">
        <f>(POWER(AB9-INDEX(Q$2:Q$14,MATCH($D9,$L$2:$L$14,1)),2)-(2*Q$17*$C9))</f>
        <v>2665.390185882232</v>
      </c>
      <c r="AC10">
        <f>(POWER(AC9-INDEX(R$2:R$14,MATCH($D9,$L$2:$L$14,1)),2)-(2*R$17*$C9))</f>
        <v>49.704276537188</v>
      </c>
      <c r="AD10">
        <f>(POWER(AD9-INDEX(S$2:S$14,MATCH($D9,$L$2:$L$14,1)),2)-(2*S$17*$C9))</f>
        <v>54.79662738583603</v>
      </c>
      <c r="AE10">
        <f>(POWER(AE9-INDEX(T$2:T$14,MATCH($D9,$L$2:$L$14,1)),2)-(2*T$17*$C9))</f>
        <v>350.79515294928996</v>
      </c>
    </row>
    <row r="11" spans="1:31" ht="12.75">
      <c r="A11" s="24" t="s">
        <v>46</v>
      </c>
      <c r="B11" s="17" t="s">
        <v>47</v>
      </c>
      <c r="C11" s="18"/>
      <c r="D11" s="19" t="s">
        <v>48</v>
      </c>
      <c r="E11" s="19"/>
      <c r="G11" s="20" t="s">
        <v>49</v>
      </c>
      <c r="H11" s="21">
        <f>INT(AB23)</f>
        <v>51</v>
      </c>
      <c r="I11" s="22" t="str">
        <f ca="1">INDEX($A$2:$A$18,(INT(H11/5)+1),1)</f>
        <v>++++++++++</v>
      </c>
      <c r="J11" s="23">
        <f>IF(H11&gt;=58,"Termite-Resist ",IF(H11&lt;=7,"Termite-Prone ",""))</f>
      </c>
      <c r="K11" s="14"/>
      <c r="L11" s="15" t="s">
        <v>50</v>
      </c>
      <c r="M11" s="2">
        <v>13</v>
      </c>
      <c r="N11" s="2">
        <v>-3</v>
      </c>
      <c r="O11" s="2">
        <v>61</v>
      </c>
      <c r="P11" s="2">
        <v>37</v>
      </c>
      <c r="Q11" s="2">
        <v>45</v>
      </c>
      <c r="R11" s="2">
        <v>69</v>
      </c>
      <c r="S11" s="2">
        <v>21</v>
      </c>
      <c r="T11" s="16">
        <v>21</v>
      </c>
      <c r="X11">
        <f>IF(X10&gt;0,INDEX(M$2:M$14,MATCH($D9,$L$2:$L$14,1))+(SIGN(X9-INDEX(M$2:M$14,MATCH($D9,$L$2:$L$14,1)))*SQRT(X10)),INDEX(M$2:M$14,MATCH($D9,$L$2:$L$14,1)))</f>
        <v>60.16850046365611</v>
      </c>
      <c r="Y11">
        <f>IF(Y10&gt;0,INDEX(N$2:N$14,MATCH($D9,$L$2:$L$14,1))+(SIGN(Y9-INDEX(N$2:N$14,MATCH($D9,$L$2:$L$14,1)))*SQRT(Y10)),INDEX(N$2:N$14,MATCH($D9,$L$2:$L$14,1)))</f>
        <v>61</v>
      </c>
      <c r="Z11">
        <f>IF(Z10&gt;0,INDEX(O$2:O$14,MATCH($D9,$L$2:$L$14,1))+(SIGN(Z9-INDEX(O$2:O$14,MATCH($D9,$L$2:$L$14,1)))*SQRT(Z10)),INDEX(O$2:O$14,MATCH($D9,$L$2:$L$14,1)))</f>
        <v>52.243112235442</v>
      </c>
      <c r="AA11">
        <f>IF(AA10&gt;0,INDEX(P$2:P$14,MATCH($D9,$L$2:$L$14,1))+(SIGN(AA9-INDEX(P$2:P$14,MATCH($D9,$L$2:$L$14,1)))*SQRT(AA10)),INDEX(P$2:P$14,MATCH($D9,$L$2:$L$14,1)))</f>
        <v>5</v>
      </c>
      <c r="AB11">
        <f>IF(AB10&gt;0,INDEX(Q$2:Q$14,MATCH($D9,$L$2:$L$14,1))+(SIGN(AB9-INDEX(Q$2:Q$14,MATCH($D9,$L$2:$L$14,1)))*SQRT(AB10)),INDEX(Q$2:Q$14,MATCH($D9,$L$2:$L$14,1)))</f>
        <v>51.62741699796952</v>
      </c>
      <c r="AC11">
        <f>IF(AC10&gt;0,INDEX(R$2:R$14,MATCH($D9,$L$2:$L$14,1))+(SIGN(AC9-INDEX(R$2:R$14,MATCH($D9,$L$2:$L$14,1)))*SQRT(AC10)),INDEX(R$2:R$14,MATCH($D9,$L$2:$L$14,1)))</f>
        <v>7.050125994419391</v>
      </c>
      <c r="AD11">
        <f>IF(AD10&gt;0,INDEX(S$2:S$14,MATCH($D9,$L$2:$L$14,1))+(SIGN(AD9-INDEX(S$2:S$14,MATCH($D9,$L$2:$L$14,1)))*SQRT(AD10)),INDEX(S$2:S$14,MATCH($D9,$L$2:$L$14,1)))</f>
        <v>7.402474409671136</v>
      </c>
      <c r="AE11">
        <f>IF(AE10&gt;0,INDEX(T$2:T$14,MATCH($D9,$L$2:$L$14,1))+(SIGN(AE9-INDEX(T$2:T$14,MATCH($D9,$L$2:$L$14,1)))*SQRT(AE10)),INDEX(T$2:T$14,MATCH($D9,$L$2:$L$14,1)))</f>
        <v>18.72952623397853</v>
      </c>
    </row>
    <row r="12" spans="1:31" ht="12.75">
      <c r="A12" s="24" t="s">
        <v>51</v>
      </c>
      <c r="B12" s="17" t="s">
        <v>52</v>
      </c>
      <c r="C12" s="18"/>
      <c r="D12" s="19" t="s">
        <v>53</v>
      </c>
      <c r="E12" s="19"/>
      <c r="G12" s="20" t="s">
        <v>54</v>
      </c>
      <c r="H12" s="21">
        <f>INT(AC23)</f>
        <v>7</v>
      </c>
      <c r="I12" s="22" t="str">
        <f ca="1">INDEX($A$2:$A$18,(INT(H12/5)+1),1)</f>
        <v>+</v>
      </c>
      <c r="J12" s="23" t="str">
        <f>IF(H12&gt;=58,"",IF(H12&lt;=7,"Nontoxic ",""))</f>
        <v>Nontoxic </v>
      </c>
      <c r="K12" s="14"/>
      <c r="L12" s="15" t="s">
        <v>55</v>
      </c>
      <c r="M12" s="2">
        <v>37</v>
      </c>
      <c r="N12" s="2">
        <v>13</v>
      </c>
      <c r="O12" s="2">
        <v>69</v>
      </c>
      <c r="P12" s="2">
        <v>61</v>
      </c>
      <c r="Q12" s="2">
        <v>61</v>
      </c>
      <c r="R12" s="2">
        <v>53</v>
      </c>
      <c r="S12" s="2">
        <v>61</v>
      </c>
      <c r="T12" s="16">
        <v>53</v>
      </c>
      <c r="W12">
        <v>5</v>
      </c>
      <c r="X12">
        <f>(POWER(X11-INDEX(M$2:M$14,MATCH($D10,$L$2:$L$14,1)),2)-(2*M$17*$C10))</f>
        <v>3620.2484480449853</v>
      </c>
      <c r="Y12">
        <f>(POWER(Y11-INDEX(N$2:N$14,MATCH($D10,$L$2:$L$14,1)),2)-(2*N$17*$C10))</f>
        <v>3721</v>
      </c>
      <c r="Z12">
        <f>(POWER(Z11-INDEX(O$2:O$14,MATCH($D10,$L$2:$L$14,1)),2)-(2*O$17*$C10))</f>
        <v>2729.3427760449895</v>
      </c>
      <c r="AA12">
        <f>(POWER(AA11-INDEX(P$2:P$14,MATCH($D10,$L$2:$L$14,1)),2)-(2*P$17*$C10))</f>
        <v>25</v>
      </c>
      <c r="AB12">
        <f>(POWER(AB11-INDEX(Q$2:Q$14,MATCH($D10,$L$2:$L$14,1)),2)-(2*Q$17*$C10))</f>
        <v>2665.390185882232</v>
      </c>
      <c r="AC12">
        <f>(POWER(AC11-INDEX(R$2:R$14,MATCH($D10,$L$2:$L$14,1)),2)-(2*R$17*$C10))</f>
        <v>49.704276537188</v>
      </c>
      <c r="AD12">
        <f>(POWER(AD11-INDEX(S$2:S$14,MATCH($D10,$L$2:$L$14,1)),2)-(2*S$17*$C10))</f>
        <v>54.79662738583603</v>
      </c>
      <c r="AE12">
        <f>(POWER(AE11-INDEX(T$2:T$14,MATCH($D10,$L$2:$L$14,1)),2)-(2*T$17*$C10))</f>
        <v>350.79515294928996</v>
      </c>
    </row>
    <row r="13" spans="1:31" ht="12.75">
      <c r="A13" s="24" t="s">
        <v>56</v>
      </c>
      <c r="B13" s="17" t="s">
        <v>57</v>
      </c>
      <c r="C13" s="18"/>
      <c r="D13" s="19" t="s">
        <v>58</v>
      </c>
      <c r="E13" s="19"/>
      <c r="G13" s="20" t="s">
        <v>59</v>
      </c>
      <c r="H13" s="21">
        <f>INT(AD23)</f>
        <v>7</v>
      </c>
      <c r="I13" s="22" t="str">
        <f ca="1">INDEX($A$2:$A$18,(INT(H13/5)+1),1)</f>
        <v>+</v>
      </c>
      <c r="J13" s="23" t="str">
        <f>IF(H13&gt;=58,"Black ",IF(H13&lt;=7,"White ",IF(H13&lt;=21,"Blonde ","")))</f>
        <v>White </v>
      </c>
      <c r="K13" s="14"/>
      <c r="L13" s="25" t="s">
        <v>60</v>
      </c>
      <c r="M13" s="5">
        <v>29</v>
      </c>
      <c r="N13" s="5">
        <v>45</v>
      </c>
      <c r="O13" s="5">
        <v>29</v>
      </c>
      <c r="P13" s="5">
        <v>-3</v>
      </c>
      <c r="Q13" s="5">
        <v>-3</v>
      </c>
      <c r="R13" s="5">
        <v>-3</v>
      </c>
      <c r="S13" s="5">
        <v>29</v>
      </c>
      <c r="T13" s="26">
        <v>37</v>
      </c>
      <c r="X13">
        <f>IF(X12&gt;0,INDEX(M$2:M$14,MATCH($D10,$L$2:$L$14,1))+(SIGN(X11-INDEX(M$2:M$14,MATCH($D10,$L$2:$L$14,1)))*SQRT(X12)),INDEX(M$2:M$14,MATCH($D10,$L$2:$L$14,1)))</f>
        <v>60.16850046365611</v>
      </c>
      <c r="Y13">
        <f>IF(Y12&gt;0,INDEX(N$2:N$14,MATCH($D10,$L$2:$L$14,1))+(SIGN(Y11-INDEX(N$2:N$14,MATCH($D10,$L$2:$L$14,1)))*SQRT(Y12)),INDEX(N$2:N$14,MATCH($D10,$L$2:$L$14,1)))</f>
        <v>61</v>
      </c>
      <c r="Z13">
        <f>IF(Z12&gt;0,INDEX(O$2:O$14,MATCH($D10,$L$2:$L$14,1))+(SIGN(Z11-INDEX(O$2:O$14,MATCH($D10,$L$2:$L$14,1)))*SQRT(Z12)),INDEX(O$2:O$14,MATCH($D10,$L$2:$L$14,1)))</f>
        <v>52.243112235442</v>
      </c>
      <c r="AA13">
        <f>IF(AA12&gt;0,INDEX(P$2:P$14,MATCH($D10,$L$2:$L$14,1))+(SIGN(AA11-INDEX(P$2:P$14,MATCH($D10,$L$2:$L$14,1)))*SQRT(AA12)),INDEX(P$2:P$14,MATCH($D10,$L$2:$L$14,1)))</f>
        <v>5</v>
      </c>
      <c r="AB13">
        <f>IF(AB12&gt;0,INDEX(Q$2:Q$14,MATCH($D10,$L$2:$L$14,1))+(SIGN(AB11-INDEX(Q$2:Q$14,MATCH($D10,$L$2:$L$14,1)))*SQRT(AB12)),INDEX(Q$2:Q$14,MATCH($D10,$L$2:$L$14,1)))</f>
        <v>51.62741699796952</v>
      </c>
      <c r="AC13">
        <f>IF(AC12&gt;0,INDEX(R$2:R$14,MATCH($D10,$L$2:$L$14,1))+(SIGN(AC11-INDEX(R$2:R$14,MATCH($D10,$L$2:$L$14,1)))*SQRT(AC12)),INDEX(R$2:R$14,MATCH($D10,$L$2:$L$14,1)))</f>
        <v>7.050125994419391</v>
      </c>
      <c r="AD13">
        <f>IF(AD12&gt;0,INDEX(S$2:S$14,MATCH($D10,$L$2:$L$14,1))+(SIGN(AD11-INDEX(S$2:S$14,MATCH($D10,$L$2:$L$14,1)))*SQRT(AD12)),INDEX(S$2:S$14,MATCH($D10,$L$2:$L$14,1)))</f>
        <v>7.402474409671136</v>
      </c>
      <c r="AE13">
        <f>IF(AE12&gt;0,INDEX(T$2:T$14,MATCH($D10,$L$2:$L$14,1))+(SIGN(AE11-INDEX(T$2:T$14,MATCH($D10,$L$2:$L$14,1)))*SQRT(AE12)),INDEX(T$2:T$14,MATCH($D10,$L$2:$L$14,1)))</f>
        <v>18.72952623397853</v>
      </c>
    </row>
    <row r="14" spans="1:31" ht="12.75">
      <c r="A14" s="24" t="s">
        <v>61</v>
      </c>
      <c r="B14" s="17" t="s">
        <v>62</v>
      </c>
      <c r="C14" s="18"/>
      <c r="D14" s="19" t="s">
        <v>63</v>
      </c>
      <c r="E14" s="19"/>
      <c r="G14" s="20" t="s">
        <v>64</v>
      </c>
      <c r="H14" s="21">
        <f>INT(AE23)</f>
        <v>18</v>
      </c>
      <c r="I14" s="22" t="str">
        <f ca="1">INDEX($A$2:$A$18,(INT(H14/5)+1),1)</f>
        <v>+++</v>
      </c>
      <c r="J14" s="23">
        <f>IF(H14&gt;=58,"Glossy ","")</f>
      </c>
      <c r="K14" s="14"/>
      <c r="W14">
        <v>6</v>
      </c>
      <c r="X14">
        <f>(POWER(X13-INDEX(M$2:M$14,MATCH($D11,$L$2:$L$14,1)),2)-(2*M$17*$C11))</f>
        <v>3620.2484480449853</v>
      </c>
      <c r="Y14">
        <f>(POWER(Y13-INDEX(N$2:N$14,MATCH($D11,$L$2:$L$14,1)),2)-(2*N$17*$C11))</f>
        <v>3721</v>
      </c>
      <c r="Z14">
        <f>(POWER(Z13-INDEX(O$2:O$14,MATCH($D11,$L$2:$L$14,1)),2)-(2*O$17*$C11))</f>
        <v>2729.3427760449895</v>
      </c>
      <c r="AA14">
        <f>(POWER(AA13-INDEX(P$2:P$14,MATCH($D11,$L$2:$L$14,1)),2)-(2*P$17*$C11))</f>
        <v>25</v>
      </c>
      <c r="AB14">
        <f>(POWER(AB13-INDEX(Q$2:Q$14,MATCH($D11,$L$2:$L$14,1)),2)-(2*Q$17*$C11))</f>
        <v>2665.390185882232</v>
      </c>
      <c r="AC14">
        <f>(POWER(AC13-INDEX(R$2:R$14,MATCH($D11,$L$2:$L$14,1)),2)-(2*R$17*$C11))</f>
        <v>49.704276537188</v>
      </c>
      <c r="AD14">
        <f>(POWER(AD13-INDEX(S$2:S$14,MATCH($D11,$L$2:$L$14,1)),2)-(2*S$17*$C11))</f>
        <v>54.79662738583603</v>
      </c>
      <c r="AE14">
        <f>(POWER(AE13-INDEX(T$2:T$14,MATCH($D11,$L$2:$L$14,1)),2)-(2*T$17*$C11))</f>
        <v>350.79515294928996</v>
      </c>
    </row>
    <row r="15" spans="1:31" ht="12.75">
      <c r="A15" s="24" t="s">
        <v>65</v>
      </c>
      <c r="B15" s="17" t="s">
        <v>66</v>
      </c>
      <c r="C15" s="27"/>
      <c r="D15" s="28" t="s">
        <v>67</v>
      </c>
      <c r="E15" s="19"/>
      <c r="G15" s="2"/>
      <c r="H15" s="2"/>
      <c r="I15" s="2"/>
      <c r="J15" s="2"/>
      <c r="L15" s="29" t="s">
        <v>68</v>
      </c>
      <c r="M15" s="29">
        <v>33</v>
      </c>
      <c r="N15" s="29">
        <v>33</v>
      </c>
      <c r="O15" s="29">
        <v>33</v>
      </c>
      <c r="P15" s="29">
        <v>26</v>
      </c>
      <c r="Q15" s="29">
        <v>22</v>
      </c>
      <c r="R15" s="29">
        <v>15</v>
      </c>
      <c r="S15" s="29">
        <v>33</v>
      </c>
      <c r="T15" s="29">
        <v>4</v>
      </c>
      <c r="X15">
        <f>IF(X14&gt;0,INDEX(M$2:M$14,MATCH($D11,$L$2:$L$14,1))+(SIGN(X13-INDEX(M$2:M$14,MATCH($D11,$L$2:$L$14,1)))*SQRT(X14)),INDEX(M$2:M$14,MATCH($D11,$L$2:$L$14,1)))</f>
        <v>60.16850046365611</v>
      </c>
      <c r="Y15">
        <f>IF(Y14&gt;0,INDEX(N$2:N$14,MATCH($D11,$L$2:$L$14,1))+(SIGN(Y13-INDEX(N$2:N$14,MATCH($D11,$L$2:$L$14,1)))*SQRT(Y14)),INDEX(N$2:N$14,MATCH($D11,$L$2:$L$14,1)))</f>
        <v>61</v>
      </c>
      <c r="Z15">
        <f>IF(Z14&gt;0,INDEX(O$2:O$14,MATCH($D11,$L$2:$L$14,1))+(SIGN(Z13-INDEX(O$2:O$14,MATCH($D11,$L$2:$L$14,1)))*SQRT(Z14)),INDEX(O$2:O$14,MATCH($D11,$L$2:$L$14,1)))</f>
        <v>52.243112235442</v>
      </c>
      <c r="AA15">
        <f>IF(AA14&gt;0,INDEX(P$2:P$14,MATCH($D11,$L$2:$L$14,1))+(SIGN(AA13-INDEX(P$2:P$14,MATCH($D11,$L$2:$L$14,1)))*SQRT(AA14)),INDEX(P$2:P$14,MATCH($D11,$L$2:$L$14,1)))</f>
        <v>5</v>
      </c>
      <c r="AB15">
        <f>IF(AB14&gt;0,INDEX(Q$2:Q$14,MATCH($D11,$L$2:$L$14,1))+(SIGN(AB13-INDEX(Q$2:Q$14,MATCH($D11,$L$2:$L$14,1)))*SQRT(AB14)),INDEX(Q$2:Q$14,MATCH($D11,$L$2:$L$14,1)))</f>
        <v>51.62741699796952</v>
      </c>
      <c r="AC15">
        <f>IF(AC14&gt;0,INDEX(R$2:R$14,MATCH($D11,$L$2:$L$14,1))+(SIGN(AC13-INDEX(R$2:R$14,MATCH($D11,$L$2:$L$14,1)))*SQRT(AC14)),INDEX(R$2:R$14,MATCH($D11,$L$2:$L$14,1)))</f>
        <v>7.050125994419391</v>
      </c>
      <c r="AD15">
        <f>IF(AD14&gt;0,INDEX(S$2:S$14,MATCH($D11,$L$2:$L$14,1))+(SIGN(AD13-INDEX(S$2:S$14,MATCH($D11,$L$2:$L$14,1)))*SQRT(AD14)),INDEX(S$2:S$14,MATCH($D11,$L$2:$L$14,1)))</f>
        <v>7.402474409671136</v>
      </c>
      <c r="AE15">
        <f>IF(AE14&gt;0,INDEX(T$2:T$14,MATCH($D11,$L$2:$L$14,1))+(SIGN(AE13-INDEX(T$2:T$14,MATCH($D11,$L$2:$L$14,1)))*SQRT(AE14)),INDEX(T$2:T$14,MATCH($D11,$L$2:$L$14,1)))</f>
        <v>18.72952623397853</v>
      </c>
    </row>
    <row r="16" spans="7:31" ht="12.75">
      <c r="G16" s="2"/>
      <c r="H16" s="2"/>
      <c r="I16" s="2"/>
      <c r="J16" s="2"/>
      <c r="M16" s="2"/>
      <c r="N16" s="2"/>
      <c r="O16" s="2"/>
      <c r="P16" s="2"/>
      <c r="Q16" s="2"/>
      <c r="R16" s="2"/>
      <c r="S16" s="2"/>
      <c r="T16" s="2"/>
      <c r="W16">
        <v>7</v>
      </c>
      <c r="X16">
        <f>(POWER(X15-INDEX(M$2:M$14,MATCH($D12,$L$2:$L$14,1)),2)-(2*M$17*$C12))</f>
        <v>3620.2484480449853</v>
      </c>
      <c r="Y16">
        <f>(POWER(Y15-INDEX(N$2:N$14,MATCH($D12,$L$2:$L$14,1)),2)-(2*N$17*$C12))</f>
        <v>3721</v>
      </c>
      <c r="Z16">
        <f>(POWER(Z15-INDEX(O$2:O$14,MATCH($D12,$L$2:$L$14,1)),2)-(2*O$17*$C12))</f>
        <v>2729.3427760449895</v>
      </c>
      <c r="AA16">
        <f>(POWER(AA15-INDEX(P$2:P$14,MATCH($D12,$L$2:$L$14,1)),2)-(2*P$17*$C12))</f>
        <v>25</v>
      </c>
      <c r="AB16">
        <f>(POWER(AB15-INDEX(Q$2:Q$14,MATCH($D12,$L$2:$L$14,1)),2)-(2*Q$17*$C12))</f>
        <v>2665.390185882232</v>
      </c>
      <c r="AC16">
        <f>(POWER(AC15-INDEX(R$2:R$14,MATCH($D12,$L$2:$L$14,1)),2)-(2*R$17*$C12))</f>
        <v>49.704276537188</v>
      </c>
      <c r="AD16">
        <f>(POWER(AD15-INDEX(S$2:S$14,MATCH($D12,$L$2:$L$14,1)),2)-(2*S$17*$C12))</f>
        <v>54.79662738583603</v>
      </c>
      <c r="AE16">
        <f>(POWER(AE15-INDEX(T$2:T$14,MATCH($D12,$L$2:$L$14,1)),2)-(2*T$17*$C12))</f>
        <v>350.79515294928996</v>
      </c>
    </row>
    <row r="17" spans="3:31" ht="12.75">
      <c r="C17" s="2"/>
      <c r="D17" s="2"/>
      <c r="E17" s="2"/>
      <c r="F17" s="2"/>
      <c r="G17" s="2"/>
      <c r="H17" s="2"/>
      <c r="I17" s="2"/>
      <c r="J17" s="2"/>
      <c r="L17" s="30" t="s">
        <v>69</v>
      </c>
      <c r="M17" s="30">
        <f>(48*48)/245/2</f>
        <v>4.702040816326531</v>
      </c>
      <c r="N17" s="30">
        <f>((72*72)/556)/2</f>
        <v>4.661870503597123</v>
      </c>
      <c r="O17" s="30">
        <f>(56*56)/366/2</f>
        <v>4.284153005464481</v>
      </c>
      <c r="P17" s="30">
        <f>((72*72)/565)/2</f>
        <v>4.587610619469027</v>
      </c>
      <c r="Q17" s="30">
        <f>(56*56)/343/2</f>
        <v>4.571428571428571</v>
      </c>
      <c r="R17" s="30">
        <f>(72*72)/591/2</f>
        <v>4.385786802030457</v>
      </c>
      <c r="S17" s="30">
        <f>(56*56)/377/2</f>
        <v>4.159151193633952</v>
      </c>
      <c r="T17" s="30">
        <f>(65*65)/482/2</f>
        <v>4.382780082987552</v>
      </c>
      <c r="X17">
        <f>IF(X16&gt;0,INDEX(M$2:M$14,MATCH($D12,$L$2:$L$14,1))+(SIGN(X15-INDEX(M$2:M$14,MATCH($D12,$L$2:$L$14,1)))*SQRT(X16)),INDEX(M$2:M$14,MATCH($D12,$L$2:$L$14,1)))</f>
        <v>60.16850046365611</v>
      </c>
      <c r="Y17">
        <f>IF(Y16&gt;0,INDEX(N$2:N$14,MATCH($D12,$L$2:$L$14,1))+(SIGN(Y15-INDEX(N$2:N$14,MATCH($D12,$L$2:$L$14,1)))*SQRT(Y16)),INDEX(N$2:N$14,MATCH($D12,$L$2:$L$14,1)))</f>
        <v>61</v>
      </c>
      <c r="Z17">
        <f>IF(Z16&gt;0,INDEX(O$2:O$14,MATCH($D12,$L$2:$L$14,1))+(SIGN(Z15-INDEX(O$2:O$14,MATCH($D12,$L$2:$L$14,1)))*SQRT(Z16)),INDEX(O$2:O$14,MATCH($D12,$L$2:$L$14,1)))</f>
        <v>52.243112235442</v>
      </c>
      <c r="AA17">
        <f>IF(AA16&gt;0,INDEX(P$2:P$14,MATCH($D12,$L$2:$L$14,1))+(SIGN(AA15-INDEX(P$2:P$14,MATCH($D12,$L$2:$L$14,1)))*SQRT(AA16)),INDEX(P$2:P$14,MATCH($D12,$L$2:$L$14,1)))</f>
        <v>5</v>
      </c>
      <c r="AB17">
        <f>IF(AB16&gt;0,INDEX(Q$2:Q$14,MATCH($D12,$L$2:$L$14,1))+(SIGN(AB15-INDEX(Q$2:Q$14,MATCH($D12,$L$2:$L$14,1)))*SQRT(AB16)),INDEX(Q$2:Q$14,MATCH($D12,$L$2:$L$14,1)))</f>
        <v>51.62741699796952</v>
      </c>
      <c r="AC17">
        <f>IF(AC16&gt;0,INDEX(R$2:R$14,MATCH($D12,$L$2:$L$14,1))+(SIGN(AC15-INDEX(R$2:R$14,MATCH($D12,$L$2:$L$14,1)))*SQRT(AC16)),INDEX(R$2:R$14,MATCH($D12,$L$2:$L$14,1)))</f>
        <v>7.050125994419391</v>
      </c>
      <c r="AD17">
        <f>IF(AD16&gt;0,INDEX(S$2:S$14,MATCH($D12,$L$2:$L$14,1))+(SIGN(AD15-INDEX(S$2:S$14,MATCH($D12,$L$2:$L$14,1)))*SQRT(AD16)),INDEX(S$2:S$14,MATCH($D12,$L$2:$L$14,1)))</f>
        <v>7.402474409671136</v>
      </c>
      <c r="AE17">
        <f>IF(AE16&gt;0,INDEX(T$2:T$14,MATCH($D12,$L$2:$L$14,1))+(SIGN(AE15-INDEX(T$2:T$14,MATCH($D12,$L$2:$L$14,1)))*SQRT(AE16)),INDEX(T$2:T$14,MATCH($D12,$L$2:$L$14,1)))</f>
        <v>18.72952623397853</v>
      </c>
    </row>
    <row r="18" spans="3:31" ht="12.75">
      <c r="C18" s="2"/>
      <c r="D18" s="2"/>
      <c r="E18" s="2"/>
      <c r="F18" s="2"/>
      <c r="G18" s="2"/>
      <c r="H18" s="2"/>
      <c r="I18" s="2"/>
      <c r="J18" s="2"/>
      <c r="W18">
        <v>8</v>
      </c>
      <c r="X18">
        <f>(POWER(X17-INDEX(M$2:M$14,MATCH($D13,$L$2:$L$14,1)),2)-(2*M$17*$C13))</f>
        <v>3620.2484480449853</v>
      </c>
      <c r="Y18">
        <f>(POWER(Y17-INDEX(N$2:N$14,MATCH($D13,$L$2:$L$14,1)),2)-(2*N$17*$C13))</f>
        <v>3721</v>
      </c>
      <c r="Z18">
        <f>(POWER(Z17-INDEX(O$2:O$14,MATCH($D13,$L$2:$L$14,1)),2)-(2*O$17*$C13))</f>
        <v>2729.3427760449895</v>
      </c>
      <c r="AA18">
        <f>(POWER(AA17-INDEX(P$2:P$14,MATCH($D13,$L$2:$L$14,1)),2)-(2*P$17*$C13))</f>
        <v>25</v>
      </c>
      <c r="AB18">
        <f>(POWER(AB17-INDEX(Q$2:Q$14,MATCH($D13,$L$2:$L$14,1)),2)-(2*Q$17*$C13))</f>
        <v>2665.390185882232</v>
      </c>
      <c r="AC18">
        <f>(POWER(AC17-INDEX(R$2:R$14,MATCH($D13,$L$2:$L$14,1)),2)-(2*R$17*$C13))</f>
        <v>49.704276537188</v>
      </c>
      <c r="AD18">
        <f>(POWER(AD17-INDEX(S$2:S$14,MATCH($D13,$L$2:$L$14,1)),2)-(2*S$17*$C13))</f>
        <v>54.79662738583603</v>
      </c>
      <c r="AE18">
        <f>(POWER(AE17-INDEX(T$2:T$14,MATCH($D13,$L$2:$L$14,1)),2)-(2*T$17*$C13))</f>
        <v>350.79515294928996</v>
      </c>
    </row>
    <row r="19" spans="3:31" ht="12.75">
      <c r="C19" s="2"/>
      <c r="D19" s="2"/>
      <c r="E19" s="2"/>
      <c r="F19" s="2"/>
      <c r="G19" s="2"/>
      <c r="H19" s="2"/>
      <c r="I19" s="2"/>
      <c r="J19" s="2"/>
      <c r="L19" s="31" t="s">
        <v>70</v>
      </c>
      <c r="M19" s="31"/>
      <c r="N19" s="31"/>
      <c r="O19" s="31"/>
      <c r="P19" s="31"/>
      <c r="Q19" s="31"/>
      <c r="R19" s="31"/>
      <c r="S19" s="31"/>
      <c r="T19" s="31"/>
      <c r="X19">
        <f>IF(X18&gt;0,INDEX(M$2:M$14,MATCH($D13,$L$2:$L$14,1))+(SIGN(X17-INDEX(M$2:M$14,MATCH($D13,$L$2:$L$14,1)))*SQRT(X18)),INDEX(M$2:M$14,MATCH($D13,$L$2:$L$14,1)))</f>
        <v>60.16850046365611</v>
      </c>
      <c r="Y19">
        <f>IF(Y18&gt;0,INDEX(N$2:N$14,MATCH($D13,$L$2:$L$14,1))+(SIGN(Y17-INDEX(N$2:N$14,MATCH($D13,$L$2:$L$14,1)))*SQRT(Y18)),INDEX(N$2:N$14,MATCH($D13,$L$2:$L$14,1)))</f>
        <v>61</v>
      </c>
      <c r="Z19">
        <f>IF(Z18&gt;0,INDEX(O$2:O$14,MATCH($D13,$L$2:$L$14,1))+(SIGN(Z17-INDEX(O$2:O$14,MATCH($D13,$L$2:$L$14,1)))*SQRT(Z18)),INDEX(O$2:O$14,MATCH($D13,$L$2:$L$14,1)))</f>
        <v>52.243112235442</v>
      </c>
      <c r="AA19">
        <f>IF(AA18&gt;0,INDEX(P$2:P$14,MATCH($D13,$L$2:$L$14,1))+(SIGN(AA17-INDEX(P$2:P$14,MATCH($D13,$L$2:$L$14,1)))*SQRT(AA18)),INDEX(P$2:P$14,MATCH($D13,$L$2:$L$14,1)))</f>
        <v>5</v>
      </c>
      <c r="AB19">
        <f>IF(AB18&gt;0,INDEX(Q$2:Q$14,MATCH($D13,$L$2:$L$14,1))+(SIGN(AB17-INDEX(Q$2:Q$14,MATCH($D13,$L$2:$L$14,1)))*SQRT(AB18)),INDEX(Q$2:Q$14,MATCH($D13,$L$2:$L$14,1)))</f>
        <v>51.62741699796952</v>
      </c>
      <c r="AC19">
        <f>IF(AC18&gt;0,INDEX(R$2:R$14,MATCH($D13,$L$2:$L$14,1))+(SIGN(AC17-INDEX(R$2:R$14,MATCH($D13,$L$2:$L$14,1)))*SQRT(AC18)),INDEX(R$2:R$14,MATCH($D13,$L$2:$L$14,1)))</f>
        <v>7.050125994419391</v>
      </c>
      <c r="AD19">
        <f>IF(AD18&gt;0,INDEX(S$2:S$14,MATCH($D13,$L$2:$L$14,1))+(SIGN(AD17-INDEX(S$2:S$14,MATCH($D13,$L$2:$L$14,1)))*SQRT(AD18)),INDEX(S$2:S$14,MATCH($D13,$L$2:$L$14,1)))</f>
        <v>7.402474409671136</v>
      </c>
      <c r="AE19">
        <f>IF(AE18&gt;0,INDEX(T$2:T$14,MATCH($D13,$L$2:$L$14,1))+(SIGN(AE17-INDEX(T$2:T$14,MATCH($D13,$L$2:$L$14,1)))*SQRT(AE18)),INDEX(T$2:T$14,MATCH($D13,$L$2:$L$14,1)))</f>
        <v>18.72952623397853</v>
      </c>
    </row>
    <row r="20" spans="7:31" ht="12.75">
      <c r="G20" s="31" t="s">
        <v>71</v>
      </c>
      <c r="H20" s="31"/>
      <c r="I20" s="31"/>
      <c r="J20" s="31"/>
      <c r="K20" s="2"/>
      <c r="L20" s="33" t="s">
        <v>72</v>
      </c>
      <c r="M20" s="33"/>
      <c r="N20" s="33"/>
      <c r="O20" s="33"/>
      <c r="P20" s="33"/>
      <c r="Q20" s="33"/>
      <c r="R20" s="33"/>
      <c r="S20" s="33"/>
      <c r="T20" s="33"/>
      <c r="W20">
        <v>9</v>
      </c>
      <c r="X20">
        <f>(POWER(X19-INDEX(M$2:M$14,MATCH($D14,$L$2:$L$14,1)),2)-(2*M$17*$C14))</f>
        <v>3620.2484480449853</v>
      </c>
      <c r="Y20">
        <f>(POWER(Y19-INDEX(N$2:N$14,MATCH($D14,$L$2:$L$14,1)),2)-(2*N$17*$C14))</f>
        <v>3721</v>
      </c>
      <c r="Z20">
        <f>(POWER(Z19-INDEX(O$2:O$14,MATCH($D14,$L$2:$L$14,1)),2)-(2*O$17*$C14))</f>
        <v>2729.3427760449895</v>
      </c>
      <c r="AA20">
        <f>(POWER(AA19-INDEX(P$2:P$14,MATCH($D14,$L$2:$L$14,1)),2)-(2*P$17*$C14))</f>
        <v>25</v>
      </c>
      <c r="AB20">
        <f>(POWER(AB19-INDEX(Q$2:Q$14,MATCH($D14,$L$2:$L$14,1)),2)-(2*Q$17*$C14))</f>
        <v>2665.390185882232</v>
      </c>
      <c r="AC20">
        <f>(POWER(AC19-INDEX(R$2:R$14,MATCH($D14,$L$2:$L$14,1)),2)-(2*R$17*$C14))</f>
        <v>49.704276537188</v>
      </c>
      <c r="AD20">
        <f>(POWER(AD19-INDEX(S$2:S$14,MATCH($D14,$L$2:$L$14,1)),2)-(2*S$17*$C14))</f>
        <v>54.79662738583603</v>
      </c>
      <c r="AE20">
        <f>(POWER(AE19-INDEX(T$2:T$14,MATCH($D14,$L$2:$L$14,1)),2)-(2*T$17*$C14))</f>
        <v>350.79515294928996</v>
      </c>
    </row>
    <row r="21" spans="7:31" ht="12.75">
      <c r="G21" s="31" t="s">
        <v>73</v>
      </c>
      <c r="H21" s="31"/>
      <c r="I21" s="31"/>
      <c r="J21" s="31"/>
      <c r="K21" s="2"/>
      <c r="L21" s="31" t="s">
        <v>74</v>
      </c>
      <c r="M21" s="31"/>
      <c r="N21" s="31"/>
      <c r="O21" s="31"/>
      <c r="P21" s="31"/>
      <c r="Q21" s="31"/>
      <c r="R21" s="31"/>
      <c r="S21" s="31"/>
      <c r="T21" s="31"/>
      <c r="X21">
        <f>IF(X20&gt;0,INDEX(M$2:M$14,MATCH($D14,$L$2:$L$14,1))+(SIGN(X19-INDEX(M$2:M$14,MATCH($D14,$L$2:$L$14,1)))*SQRT(X20)),INDEX(M$2:M$14,MATCH($D14,$L$2:$L$14,1)))</f>
        <v>60.16850046365611</v>
      </c>
      <c r="Y21">
        <f>IF(Y20&gt;0,INDEX(N$2:N$14,MATCH($D14,$L$2:$L$14,1))+(SIGN(Y19-INDEX(N$2:N$14,MATCH($D14,$L$2:$L$14,1)))*SQRT(Y20)),INDEX(N$2:N$14,MATCH($D14,$L$2:$L$14,1)))</f>
        <v>61</v>
      </c>
      <c r="Z21">
        <f>IF(Z20&gt;0,INDEX(O$2:O$14,MATCH($D14,$L$2:$L$14,1))+(SIGN(Z19-INDEX(O$2:O$14,MATCH($D14,$L$2:$L$14,1)))*SQRT(Z20)),INDEX(O$2:O$14,MATCH($D14,$L$2:$L$14,1)))</f>
        <v>52.243112235442</v>
      </c>
      <c r="AA21">
        <f>IF(AA20&gt;0,INDEX(P$2:P$14,MATCH($D14,$L$2:$L$14,1))+(SIGN(AA19-INDEX(P$2:P$14,MATCH($D14,$L$2:$L$14,1)))*SQRT(AA20)),INDEX(P$2:P$14,MATCH($D14,$L$2:$L$14,1)))</f>
        <v>5</v>
      </c>
      <c r="AB21">
        <f>IF(AB20&gt;0,INDEX(Q$2:Q$14,MATCH($D14,$L$2:$L$14,1))+(SIGN(AB19-INDEX(Q$2:Q$14,MATCH($D14,$L$2:$L$14,1)))*SQRT(AB20)),INDEX(Q$2:Q$14,MATCH($D14,$L$2:$L$14,1)))</f>
        <v>51.62741699796952</v>
      </c>
      <c r="AC21">
        <f>IF(AC20&gt;0,INDEX(R$2:R$14,MATCH($D14,$L$2:$L$14,1))+(SIGN(AC19-INDEX(R$2:R$14,MATCH($D14,$L$2:$L$14,1)))*SQRT(AC20)),INDEX(R$2:R$14,MATCH($D14,$L$2:$L$14,1)))</f>
        <v>7.050125994419391</v>
      </c>
      <c r="AD21">
        <f>IF(AD20&gt;0,INDEX(S$2:S$14,MATCH($D14,$L$2:$L$14,1))+(SIGN(AD19-INDEX(S$2:S$14,MATCH($D14,$L$2:$L$14,1)))*SQRT(AD20)),INDEX(S$2:S$14,MATCH($D14,$L$2:$L$14,1)))</f>
        <v>7.402474409671136</v>
      </c>
      <c r="AE21">
        <f>IF(AE20&gt;0,INDEX(T$2:T$14,MATCH($D14,$L$2:$L$14,1))+(SIGN(AE19-INDEX(T$2:T$14,MATCH($D14,$L$2:$L$14,1)))*SQRT(AE20)),INDEX(T$2:T$14,MATCH($D14,$L$2:$L$14,1)))</f>
        <v>18.72952623397853</v>
      </c>
    </row>
    <row r="22" spans="7:31" ht="12.75">
      <c r="G22" s="31" t="s">
        <v>75</v>
      </c>
      <c r="H22" s="31"/>
      <c r="I22" s="31"/>
      <c r="J22" s="31"/>
      <c r="K22" s="2"/>
      <c r="M22" s="34"/>
      <c r="N22" s="34"/>
      <c r="O22" s="34"/>
      <c r="P22" s="34"/>
      <c r="Q22" s="34"/>
      <c r="R22" s="34"/>
      <c r="S22" s="34"/>
      <c r="T22" s="34"/>
      <c r="W22">
        <v>10</v>
      </c>
      <c r="X22">
        <f>(POWER(X21-INDEX(M$2:M$14,MATCH($D15,$L$2:$L$14,1)),2)-(2*M$17*$C15))</f>
        <v>3620.2484480449853</v>
      </c>
      <c r="Y22">
        <f>(POWER(Y21-INDEX(N$2:N$14,MATCH($D15,$L$2:$L$14,1)),2)-(2*N$17*$C15))</f>
        <v>3721</v>
      </c>
      <c r="Z22">
        <f>(POWER(Z21-INDEX(O$2:O$14,MATCH($D15,$L$2:$L$14,1)),2)-(2*O$17*$C15))</f>
        <v>2729.3427760449895</v>
      </c>
      <c r="AA22">
        <f>(POWER(AA21-INDEX(P$2:P$14,MATCH($D15,$L$2:$L$14,1)),2)-(2*P$17*$C15))</f>
        <v>25</v>
      </c>
      <c r="AB22">
        <f>(POWER(AB21-INDEX(Q$2:Q$14,MATCH($D15,$L$2:$L$14,1)),2)-(2*Q$17*$C15))</f>
        <v>2665.390185882232</v>
      </c>
      <c r="AC22">
        <f>(POWER(AC21-INDEX(R$2:R$14,MATCH($D15,$L$2:$L$14,1)),2)-(2*R$17*$C15))</f>
        <v>49.704276537188</v>
      </c>
      <c r="AD22">
        <f>(POWER(AD21-INDEX(S$2:S$14,MATCH($D15,$L$2:$L$14,1)),2)-(2*S$17*$C15))</f>
        <v>54.79662738583603</v>
      </c>
      <c r="AE22">
        <f>(POWER(AE21-INDEX(T$2:T$14,MATCH($D15,$L$2:$L$14,1)),2)-(2*T$17*$C15))</f>
        <v>350.79515294928996</v>
      </c>
    </row>
    <row r="23" spans="24:31" ht="12.75">
      <c r="X23">
        <f>IF(X22&gt;0,INDEX(M$2:M$14,MATCH($D15,$L$2:$L$14,1))+(SIGN(X21-INDEX(M$2:M$14,MATCH($D15,$L$2:$L$14,1)))*SQRT(X22)),INDEX(M$2:M$14,MATCH($D15,$L$2:$L$14,1)))</f>
        <v>60.16850046365611</v>
      </c>
      <c r="Y23">
        <f>IF(Y22&gt;0,INDEX(N$2:N$14,MATCH($D15,$L$2:$L$14,1))+(SIGN(Y21-INDEX(N$2:N$14,MATCH($D15,$L$2:$L$14,1)))*SQRT(Y22)),INDEX(N$2:N$14,MATCH($D15,$L$2:$L$14,1)))</f>
        <v>61</v>
      </c>
      <c r="Z23">
        <f>IF(Z22&gt;0,INDEX(O$2:O$14,MATCH($D15,$L$2:$L$14,1))+(SIGN(Z21-INDEX(O$2:O$14,MATCH($D15,$L$2:$L$14,1)))*SQRT(Z22)),INDEX(O$2:O$14,MATCH($D15,$L$2:$L$14,1)))</f>
        <v>52.243112235442</v>
      </c>
      <c r="AA23">
        <f>IF(AA22&gt;0,INDEX(P$2:P$14,MATCH($D15,$L$2:$L$14,1))+(SIGN(AA21-INDEX(P$2:P$14,MATCH($D15,$L$2:$L$14,1)))*SQRT(AA22)),INDEX(P$2:P$14,MATCH($D15,$L$2:$L$14,1)))</f>
        <v>5</v>
      </c>
      <c r="AB23">
        <f>IF(AB22&gt;0,INDEX(Q$2:Q$14,MATCH($D15,$L$2:$L$14,1))+(SIGN(AB21-INDEX(Q$2:Q$14,MATCH($D15,$L$2:$L$14,1)))*SQRT(AB22)),INDEX(Q$2:Q$14,MATCH($D15,$L$2:$L$14,1)))</f>
        <v>51.62741699796952</v>
      </c>
      <c r="AC23">
        <f>IF(AC22&gt;0,INDEX(R$2:R$14,MATCH($D15,$L$2:$L$14,1))+(SIGN(AC21-INDEX(R$2:R$14,MATCH($D15,$L$2:$L$14,1)))*SQRT(AC22)),INDEX(R$2:R$14,MATCH($D15,$L$2:$L$14,1)))</f>
        <v>7.050125994419391</v>
      </c>
      <c r="AD23">
        <f>IF(AD22&gt;0,INDEX(S$2:S$14,MATCH($D15,$L$2:$L$14,1))+(SIGN(AD21-INDEX(S$2:S$14,MATCH($D15,$L$2:$L$14,1)))*SQRT(AD22)),INDEX(S$2:S$14,MATCH($D15,$L$2:$L$14,1)))</f>
        <v>7.402474409671136</v>
      </c>
      <c r="AE23">
        <f>IF(AE22&gt;0,INDEX(T$2:T$14,MATCH($D15,$L$2:$L$14,1))+(SIGN(AE21-INDEX(T$2:T$14,MATCH($D15,$L$2:$L$14,1)))*SQRT(AE22)),INDEX(T$2:T$14,MATCH($D15,$L$2:$L$14,1)))</f>
        <v>18.72952623397853</v>
      </c>
    </row>
    <row r="24" ht="12.75"/>
    <row r="25" ht="12.75"/>
    <row r="26" ht="12.75"/>
    <row r="27" ht="12.75"/>
    <row r="28" ht="12.75"/>
    <row r="29" ht="12.75"/>
    <row r="30" ht="12.75"/>
    <row r="31" ht="12.75"/>
    <row r="32" spans="3:10" ht="12.75">
      <c r="C32" s="35" t="s">
        <v>76</v>
      </c>
      <c r="D32" s="35"/>
      <c r="E32" s="35"/>
      <c r="F32" s="35"/>
      <c r="G32" s="35"/>
      <c r="H32" s="35"/>
      <c r="I32" s="35"/>
      <c r="J32" s="35"/>
    </row>
    <row r="33" spans="3:10" ht="12.75">
      <c r="C33" s="35" t="s">
        <v>77</v>
      </c>
      <c r="D33" s="35"/>
      <c r="E33" s="35"/>
      <c r="F33" s="35"/>
      <c r="G33" s="35"/>
      <c r="H33" s="35"/>
      <c r="I33" s="35"/>
      <c r="J33" s="35"/>
    </row>
    <row r="34" spans="3:10" ht="12.75">
      <c r="C34" s="35" t="s">
        <v>78</v>
      </c>
      <c r="D34" s="35"/>
      <c r="E34" s="35"/>
      <c r="F34" s="35"/>
      <c r="G34" s="35"/>
      <c r="H34" s="35"/>
      <c r="I34" s="35"/>
      <c r="J34" s="35"/>
    </row>
    <row r="35" ht="12.75"/>
    <row r="36" ht="12.75"/>
    <row r="37" ht="12.75"/>
    <row r="38" ht="12.75"/>
    <row r="39" ht="12.75" hidden="1"/>
    <row r="40" spans="3:7" ht="12.75" hidden="1">
      <c r="C40" s="13" t="s">
        <v>79</v>
      </c>
      <c r="D40" s="13" t="s">
        <v>80</v>
      </c>
      <c r="F40" s="13" t="s">
        <v>81</v>
      </c>
      <c r="G40" s="13" t="s">
        <v>82</v>
      </c>
    </row>
    <row r="41" spans="2:7" ht="12.75" hidden="1">
      <c r="B41" s="17" t="s">
        <v>83</v>
      </c>
      <c r="C41" s="18">
        <v>125</v>
      </c>
      <c r="D41" s="19" t="s">
        <v>84</v>
      </c>
      <c r="E41" s="17" t="s">
        <v>85</v>
      </c>
      <c r="F41" s="18"/>
      <c r="G41" s="19" t="s">
        <v>86</v>
      </c>
    </row>
    <row r="42" spans="2:7" ht="12.75" hidden="1">
      <c r="B42" s="17" t="s">
        <v>87</v>
      </c>
      <c r="C42" s="18">
        <v>7</v>
      </c>
      <c r="D42" s="19" t="s">
        <v>88</v>
      </c>
      <c r="E42" s="17" t="s">
        <v>89</v>
      </c>
      <c r="F42" s="18"/>
      <c r="G42" s="19" t="s">
        <v>90</v>
      </c>
    </row>
    <row r="43" spans="2:7" ht="12.75" hidden="1">
      <c r="B43" s="17" t="s">
        <v>91</v>
      </c>
      <c r="C43" s="18"/>
      <c r="D43" s="19" t="s">
        <v>92</v>
      </c>
      <c r="E43" s="17" t="s">
        <v>93</v>
      </c>
      <c r="F43" s="18"/>
      <c r="G43" s="19" t="s">
        <v>94</v>
      </c>
    </row>
    <row r="44" spans="2:7" ht="12.75" hidden="1">
      <c r="B44" s="17" t="s">
        <v>95</v>
      </c>
      <c r="C44" s="18"/>
      <c r="D44" s="19" t="s">
        <v>96</v>
      </c>
      <c r="E44" s="17" t="s">
        <v>97</v>
      </c>
      <c r="F44" s="18"/>
      <c r="G44" s="19" t="s">
        <v>98</v>
      </c>
    </row>
    <row r="45" spans="2:7" ht="12.75" hidden="1">
      <c r="B45" s="17" t="s">
        <v>99</v>
      </c>
      <c r="C45" s="18"/>
      <c r="D45" s="19" t="s">
        <v>100</v>
      </c>
      <c r="E45" s="17" t="s">
        <v>101</v>
      </c>
      <c r="F45" s="18"/>
      <c r="G45" s="19" t="s">
        <v>102</v>
      </c>
    </row>
    <row r="46" spans="2:7" ht="12.75" hidden="1">
      <c r="B46" s="17" t="s">
        <v>103</v>
      </c>
      <c r="C46" s="18"/>
      <c r="D46" s="19" t="s">
        <v>104</v>
      </c>
      <c r="E46" s="17" t="s">
        <v>105</v>
      </c>
      <c r="F46" s="18"/>
      <c r="G46" s="19" t="s">
        <v>106</v>
      </c>
    </row>
    <row r="47" spans="2:7" ht="12.75" hidden="1">
      <c r="B47" s="17" t="s">
        <v>107</v>
      </c>
      <c r="C47" s="18"/>
      <c r="D47" s="19" t="s">
        <v>108</v>
      </c>
      <c r="E47" s="17" t="s">
        <v>109</v>
      </c>
      <c r="F47" s="18"/>
      <c r="G47" s="19" t="s">
        <v>110</v>
      </c>
    </row>
    <row r="48" spans="2:7" ht="12.75" hidden="1">
      <c r="B48" s="17" t="s">
        <v>111</v>
      </c>
      <c r="C48" s="18"/>
      <c r="D48" s="19" t="s">
        <v>112</v>
      </c>
      <c r="E48" s="17" t="s">
        <v>113</v>
      </c>
      <c r="F48" s="18"/>
      <c r="G48" s="19" t="s">
        <v>114</v>
      </c>
    </row>
    <row r="49" spans="2:7" ht="12.75" hidden="1">
      <c r="B49" s="17" t="s">
        <v>115</v>
      </c>
      <c r="C49" s="18"/>
      <c r="D49" s="19" t="s">
        <v>116</v>
      </c>
      <c r="E49" s="17" t="s">
        <v>117</v>
      </c>
      <c r="F49" s="18"/>
      <c r="G49" s="19" t="s">
        <v>118</v>
      </c>
    </row>
    <row r="50" spans="2:7" ht="12.75" hidden="1">
      <c r="B50" s="17" t="s">
        <v>119</v>
      </c>
      <c r="C50" s="27"/>
      <c r="D50" s="28" t="s">
        <v>120</v>
      </c>
      <c r="E50" s="17" t="s">
        <v>121</v>
      </c>
      <c r="F50" s="27"/>
      <c r="G50" s="28" t="s">
        <v>122</v>
      </c>
    </row>
  </sheetData>
  <mergeCells count="19">
    <mergeCell ref="B1:E1"/>
    <mergeCell ref="G1:J1"/>
    <mergeCell ref="B2:E2"/>
    <mergeCell ref="B3:E3"/>
    <mergeCell ref="G3:J3"/>
    <mergeCell ref="G4:J4"/>
    <mergeCell ref="G5:J5"/>
    <mergeCell ref="G6:J6"/>
    <mergeCell ref="G15:J15"/>
    <mergeCell ref="G16:J19"/>
    <mergeCell ref="L19:T19"/>
    <mergeCell ref="G20:J20"/>
    <mergeCell ref="L20:T20"/>
    <mergeCell ref="G21:J21"/>
    <mergeCell ref="L21:T21"/>
    <mergeCell ref="G22:J22"/>
    <mergeCell ref="C32:J32"/>
    <mergeCell ref="C33:J33"/>
    <mergeCell ref="C34:J34"/>
  </mergeCells>
  <hyperlinks>
    <hyperlink ref="L20" r:id="rId1" display="this webpage."/>
    <hyperlink ref="C32" r:id="rId2" display="ATITD"/>
    <hyperlink ref="C34" r:id="rId3" display="ATITD Forums by Tamutnefret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1601-01-01T08:00:00Z</cp:lastPrinted>
  <dcterms:created xsi:type="dcterms:W3CDTF">2003-10-30T23:27:12Z</dcterms:created>
  <dcterms:modified xsi:type="dcterms:W3CDTF">2005-01-20T01:14:33Z</dcterms:modified>
  <cp:category/>
  <cp:version/>
  <cp:contentType/>
  <cp:contentStatus/>
  <cp:revision>49</cp:revision>
</cp:coreProperties>
</file>